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akin/Dropbox/web site/academics/788XF20/"/>
    </mc:Choice>
  </mc:AlternateContent>
  <xr:revisionPtr revIDLastSave="0" documentId="13_ncr:1_{898C6C5B-294E-4E48-A891-C67F56EB2D72}" xr6:coauthVersionLast="45" xr6:coauthVersionMax="45" xr10:uidLastSave="{00000000-0000-0000-0000-000000000000}"/>
  <bookViews>
    <workbookView xWindow="2860" yWindow="4540" windowWidth="26840" windowHeight="15940" xr2:uid="{63C199FC-D928-8D45-A406-4AC8E99D5089}"/>
  </bookViews>
  <sheets>
    <sheet name="Sheet1" sheetId="1" r:id="rId1"/>
  </sheets>
  <definedNames>
    <definedName name="Kspring">Sheet1!$E$2</definedName>
    <definedName name="lspring">Sheet1!$D$2</definedName>
    <definedName name="mass">Sheet1!$F$2</definedName>
    <definedName name="mvehicle">Sheet1!$F$2</definedName>
    <definedName name="pitch">Sheet1!$A$3</definedName>
    <definedName name="roll">Sheet1!$B$3</definedName>
    <definedName name="solver_adj" localSheetId="0" hidden="1">Sheet1!$A$2:$C$2</definedName>
    <definedName name="solver_cvg" localSheetId="0" hidden="1">0.0001</definedName>
    <definedName name="solver_drv" localSheetId="0" hidden="1">1</definedName>
    <definedName name="solver_eng" localSheetId="0" hidden="1">1</definedName>
    <definedName name="solver_itr" localSheetId="0" hidden="1">2147483647</definedName>
    <definedName name="solver_lin" localSheetId="0" hidden="1">2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2</definedName>
    <definedName name="solver_nod" localSheetId="0" hidden="1">2147483647</definedName>
    <definedName name="solver_num" localSheetId="0" hidden="1">0</definedName>
    <definedName name="solver_opt" localSheetId="0" hidden="1">Sheet1!$N$26</definedName>
    <definedName name="solver_pre" localSheetId="0" hidden="1">0.000001</definedName>
    <definedName name="solver_rbv" localSheetId="0" hidden="1">1</definedName>
    <definedName name="solver_rlx" localSheetId="0" hidden="1">1</definedName>
    <definedName name="solver_rsd" localSheetId="0" hidden="1">0</definedName>
    <definedName name="solver_scl" localSheetId="0" hidden="1">2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3</definedName>
    <definedName name="solver_val" localSheetId="0" hidden="1">0</definedName>
    <definedName name="solver_ver" localSheetId="0" hidden="1">2</definedName>
    <definedName name="zc">Sheet1!$C$2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7" i="1" l="1"/>
  <c r="P17" i="1"/>
  <c r="Q17" i="1"/>
  <c r="R17" i="1"/>
  <c r="O18" i="1"/>
  <c r="P18" i="1"/>
  <c r="Q18" i="1"/>
  <c r="R18" i="1"/>
  <c r="O19" i="1"/>
  <c r="P19" i="1"/>
  <c r="Q19" i="1"/>
  <c r="R19" i="1"/>
  <c r="O20" i="1"/>
  <c r="P20" i="1"/>
  <c r="Q20" i="1"/>
  <c r="R20" i="1"/>
  <c r="H18" i="1"/>
  <c r="H17" i="1"/>
  <c r="G17" i="1"/>
  <c r="F18" i="1"/>
  <c r="M20" i="1" s="1"/>
  <c r="G18" i="1"/>
  <c r="N20" i="1" s="1"/>
  <c r="D19" i="1"/>
  <c r="J18" i="1"/>
  <c r="I18" i="1"/>
  <c r="E18" i="1"/>
  <c r="J17" i="1"/>
  <c r="E17" i="1"/>
  <c r="L20" i="1" s="1"/>
  <c r="L5" i="1" l="1"/>
  <c r="L4" i="1"/>
  <c r="K5" i="1"/>
  <c r="J4" i="1"/>
  <c r="K4" i="1"/>
  <c r="J5" i="1"/>
  <c r="I5" i="1"/>
  <c r="I4" i="1"/>
  <c r="N7" i="1" s="1"/>
  <c r="O7" i="1"/>
  <c r="H6" i="1"/>
  <c r="A3" i="1"/>
  <c r="B3" i="1"/>
  <c r="B18" i="1" l="1"/>
  <c r="B19" i="1"/>
  <c r="A18" i="1"/>
  <c r="C17" i="1"/>
  <c r="C19" i="1"/>
  <c r="A19" i="1"/>
  <c r="A17" i="1"/>
  <c r="C18" i="1"/>
  <c r="E4" i="1"/>
  <c r="G5" i="1"/>
  <c r="G4" i="1"/>
  <c r="Q7" i="1"/>
  <c r="P7" i="1"/>
  <c r="F5" i="1"/>
  <c r="E6" i="1"/>
  <c r="F6" i="1"/>
  <c r="E5" i="1"/>
  <c r="G6" i="1"/>
  <c r="L17" i="1" l="1"/>
  <c r="N17" i="1"/>
  <c r="M17" i="1"/>
  <c r="N23" i="1"/>
  <c r="N24" i="1" s="1"/>
  <c r="N19" i="1"/>
  <c r="K23" i="1" s="1"/>
  <c r="K24" i="1" s="1"/>
  <c r="M19" i="1"/>
  <c r="J23" i="1" s="1"/>
  <c r="J24" i="1" s="1"/>
  <c r="N18" i="1"/>
  <c r="M18" i="1"/>
  <c r="L19" i="1"/>
  <c r="L23" i="1"/>
  <c r="L24" i="1" s="1"/>
  <c r="O24" i="1" s="1"/>
  <c r="P24" i="1" s="1"/>
  <c r="M23" i="1"/>
  <c r="M24" i="1" s="1"/>
  <c r="L18" i="1"/>
  <c r="R5" i="1"/>
  <c r="R6" i="1"/>
  <c r="R4" i="1"/>
  <c r="P4" i="1"/>
  <c r="N4" i="1"/>
  <c r="O6" i="1"/>
  <c r="Q6" i="1"/>
  <c r="N6" i="1"/>
  <c r="N5" i="1"/>
  <c r="P6" i="1"/>
  <c r="O4" i="1"/>
  <c r="Q4" i="1"/>
  <c r="Q5" i="1"/>
  <c r="O5" i="1"/>
  <c r="P5" i="1"/>
  <c r="I23" i="1" l="1"/>
  <c r="I24" i="1" s="1"/>
  <c r="M10" i="1"/>
  <c r="M11" i="1" s="1"/>
  <c r="P10" i="1"/>
  <c r="P11" i="1" s="1"/>
  <c r="O10" i="1"/>
  <c r="O11" i="1" s="1"/>
  <c r="N10" i="1"/>
  <c r="N11" i="1" s="1"/>
  <c r="I26" i="1" l="1"/>
  <c r="I27" i="1"/>
  <c r="M13" i="1"/>
  <c r="M14" i="1"/>
  <c r="Q11" i="1"/>
  <c r="R11" i="1" s="1"/>
  <c r="N26" i="1" l="1"/>
  <c r="R13" i="1"/>
</calcChain>
</file>

<file path=xl/sharedStrings.xml><?xml version="1.0" encoding="utf-8"?>
<sst xmlns="http://schemas.openxmlformats.org/spreadsheetml/2006/main" count="30" uniqueCount="20">
  <si>
    <t>Pitch</t>
  </si>
  <si>
    <t>Roll</t>
  </si>
  <si>
    <t>Chassis height</t>
  </si>
  <si>
    <t>Zground</t>
  </si>
  <si>
    <t>lspring</t>
  </si>
  <si>
    <t>Kspring</t>
  </si>
  <si>
    <t>mvehicle</t>
  </si>
  <si>
    <t>Zspring</t>
  </si>
  <si>
    <t>Fspring</t>
  </si>
  <si>
    <t>Roll moment</t>
  </si>
  <si>
    <t>Pitch moment</t>
  </si>
  <si>
    <t>CG location</t>
  </si>
  <si>
    <t>Transform matrix</t>
  </si>
  <si>
    <t>Wheel locations (vehicle frame)</t>
  </si>
  <si>
    <t>Wheel locations (base frame)</t>
  </si>
  <si>
    <t>CG (base)</t>
  </si>
  <si>
    <t>Four-wheel calculations</t>
  </si>
  <si>
    <t>Six-wheel calculations</t>
  </si>
  <si>
    <t>Use Solver to set N26=0 by changing A2-C2 for 6-wheel solution</t>
  </si>
  <si>
    <t>Use Solver to set R13=0 by changing A2-C2 for 4-wheel solution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</si>
</sst>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70" formatCode="0.0000"/>
  </numFmts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>
      <alignment horizontal="right"/>
    </xf>
    <xf numFmtId="0" fontId="0" fillId="0" borderId="0" xfId="0" applyFont="1"/>
    <xf numFmtId="164" fontId="0" fillId="0" borderId="0" xfId="0" applyNumberFormat="1"/>
    <xf numFmtId="1" fontId="0" fillId="0" borderId="0" xfId="0" applyNumberFormat="1"/>
    <xf numFmtId="0" fontId="0" fillId="0" borderId="0" xfId="0" applyBorder="1"/>
    <xf numFmtId="0" fontId="0" fillId="0" borderId="1" xfId="0" applyBorder="1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164" fontId="0" fillId="0" borderId="3" xfId="0" applyNumberFormat="1" applyBorder="1"/>
    <xf numFmtId="164" fontId="0" fillId="0" borderId="4" xfId="0" applyNumberFormat="1" applyBorder="1"/>
    <xf numFmtId="164" fontId="0" fillId="0" borderId="5" xfId="0" applyNumberFormat="1" applyBorder="1"/>
    <xf numFmtId="164" fontId="0" fillId="0" borderId="6" xfId="0" applyNumberFormat="1" applyBorder="1"/>
    <xf numFmtId="164" fontId="0" fillId="0" borderId="0" xfId="0" applyNumberFormat="1" applyBorder="1"/>
    <xf numFmtId="164" fontId="0" fillId="0" borderId="7" xfId="0" applyNumberFormat="1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164" fontId="0" fillId="0" borderId="3" xfId="0" applyNumberFormat="1" applyFont="1" applyBorder="1"/>
    <xf numFmtId="164" fontId="0" fillId="0" borderId="4" xfId="0" applyNumberFormat="1" applyFont="1" applyBorder="1"/>
    <xf numFmtId="164" fontId="0" fillId="0" borderId="5" xfId="0" applyNumberFormat="1" applyFont="1" applyBorder="1"/>
    <xf numFmtId="164" fontId="0" fillId="0" borderId="6" xfId="0" applyNumberFormat="1" applyFont="1" applyBorder="1"/>
    <xf numFmtId="164" fontId="0" fillId="0" borderId="0" xfId="0" applyNumberFormat="1" applyFont="1" applyBorder="1"/>
    <xf numFmtId="164" fontId="0" fillId="0" borderId="7" xfId="0" applyNumberFormat="1" applyFont="1" applyBorder="1"/>
    <xf numFmtId="0" fontId="0" fillId="0" borderId="8" xfId="0" applyFont="1" applyBorder="1"/>
    <xf numFmtId="0" fontId="0" fillId="0" borderId="1" xfId="0" applyFont="1" applyBorder="1"/>
    <xf numFmtId="0" fontId="0" fillId="0" borderId="9" xfId="0" applyFont="1" applyBorder="1"/>
    <xf numFmtId="164" fontId="0" fillId="0" borderId="10" xfId="0" applyNumberFormat="1" applyFont="1" applyBorder="1"/>
    <xf numFmtId="164" fontId="0" fillId="0" borderId="11" xfId="0" applyNumberFormat="1" applyFont="1" applyBorder="1"/>
    <xf numFmtId="164" fontId="0" fillId="0" borderId="8" xfId="0" applyNumberFormat="1" applyFont="1" applyBorder="1"/>
    <xf numFmtId="164" fontId="0" fillId="0" borderId="1" xfId="0" applyNumberFormat="1" applyFont="1" applyBorder="1"/>
    <xf numFmtId="164" fontId="0" fillId="0" borderId="9" xfId="0" applyNumberFormat="1" applyFont="1" applyBorder="1"/>
    <xf numFmtId="170" fontId="0" fillId="0" borderId="3" xfId="0" applyNumberFormat="1" applyBorder="1"/>
    <xf numFmtId="170" fontId="0" fillId="0" borderId="6" xfId="0" applyNumberFormat="1" applyBorder="1"/>
    <xf numFmtId="170" fontId="0" fillId="0" borderId="4" xfId="0" applyNumberFormat="1" applyBorder="1"/>
    <xf numFmtId="170" fontId="0" fillId="0" borderId="0" xfId="0" applyNumberFormat="1" applyBorder="1"/>
    <xf numFmtId="170" fontId="0" fillId="0" borderId="5" xfId="0" applyNumberFormat="1" applyBorder="1"/>
    <xf numFmtId="170" fontId="0" fillId="0" borderId="7" xfId="0" applyNumberFormat="1" applyBorder="1"/>
    <xf numFmtId="0" fontId="0" fillId="0" borderId="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755778-9E5F-134E-ACE4-6CE420EEC37F}">
  <dimension ref="A1:R27"/>
  <sheetViews>
    <sheetView tabSelected="1" zoomScale="107" workbookViewId="0">
      <selection activeCell="O14" sqref="O14"/>
    </sheetView>
  </sheetViews>
  <sheetFormatPr baseColWidth="10" defaultRowHeight="16" x14ac:dyDescent="0.2"/>
  <cols>
    <col min="1" max="1" width="12.5" bestFit="1" customWidth="1"/>
    <col min="9" max="9" width="13.33203125" bestFit="1" customWidth="1"/>
    <col min="13" max="13" width="12.83203125" bestFit="1" customWidth="1"/>
  </cols>
  <sheetData>
    <row r="1" spans="1:18" x14ac:dyDescent="0.2">
      <c r="A1" t="s">
        <v>0</v>
      </c>
      <c r="B1" t="s">
        <v>1</v>
      </c>
      <c r="C1" t="s">
        <v>2</v>
      </c>
      <c r="D1" t="s">
        <v>4</v>
      </c>
      <c r="E1" t="s">
        <v>5</v>
      </c>
      <c r="F1" t="s">
        <v>6</v>
      </c>
    </row>
    <row r="2" spans="1:18" x14ac:dyDescent="0.2">
      <c r="A2" s="42">
        <v>-1.2353314986440742</v>
      </c>
      <c r="B2" s="43">
        <v>-4.6014454959838301E-7</v>
      </c>
      <c r="C2" s="44">
        <v>0.41091666279115879</v>
      </c>
      <c r="D2">
        <v>0.5</v>
      </c>
      <c r="E2">
        <v>2000</v>
      </c>
      <c r="F2" s="1">
        <v>1069</v>
      </c>
    </row>
    <row r="3" spans="1:18" x14ac:dyDescent="0.2">
      <c r="A3" s="1">
        <f>PI()*A2/180</f>
        <v>-2.156060200493496E-2</v>
      </c>
      <c r="B3">
        <f>PI()*B2/180</f>
        <v>-8.031037425598136E-9</v>
      </c>
      <c r="E3" t="s">
        <v>12</v>
      </c>
      <c r="I3" t="s">
        <v>13</v>
      </c>
      <c r="M3" t="s">
        <v>11</v>
      </c>
      <c r="N3" s="2" t="s">
        <v>14</v>
      </c>
      <c r="O3" s="2"/>
      <c r="P3" s="2"/>
      <c r="R3" t="s">
        <v>15</v>
      </c>
    </row>
    <row r="4" spans="1:18" x14ac:dyDescent="0.2">
      <c r="E4" s="35">
        <f>COS(pitch)</f>
        <v>0.99976757922438664</v>
      </c>
      <c r="F4" s="37">
        <v>0</v>
      </c>
      <c r="G4" s="37">
        <f>SIN(pitch)</f>
        <v>-2.1558931601771275E-2</v>
      </c>
      <c r="H4" s="39">
        <v>0</v>
      </c>
      <c r="I4" s="12">
        <f>45/39.37</f>
        <v>1.1430022860045721</v>
      </c>
      <c r="J4" s="13">
        <f>-45/39.37</f>
        <v>-1.1430022860045721</v>
      </c>
      <c r="K4" s="13">
        <f t="shared" ref="K4" si="0">45/39.37</f>
        <v>1.1430022860045721</v>
      </c>
      <c r="L4" s="14">
        <f>-45/39.37</f>
        <v>-1.1430022860045721</v>
      </c>
      <c r="M4" s="18">
        <v>0</v>
      </c>
      <c r="N4" s="21">
        <f>$E4*I4+$F4*I5+$G4*I6+$H4*I7</f>
        <v>1.1427366285267311</v>
      </c>
      <c r="O4" s="22">
        <f t="shared" ref="O4:R4" si="1">$E4*J4+$F4*J5+$G4*J6+$H4*J7</f>
        <v>-1.1427366285267311</v>
      </c>
      <c r="P4" s="22">
        <f t="shared" si="1"/>
        <v>1.1427366285267311</v>
      </c>
      <c r="Q4" s="23">
        <f t="shared" si="1"/>
        <v>-1.1427366285267311</v>
      </c>
      <c r="R4" s="30">
        <f t="shared" si="1"/>
        <v>0</v>
      </c>
    </row>
    <row r="5" spans="1:18" x14ac:dyDescent="0.2">
      <c r="E5" s="36">
        <f>-SIN(pitch)*SIN(roll)</f>
        <v>-1.7314058654973547E-10</v>
      </c>
      <c r="F5" s="38">
        <f>COS(roll)</f>
        <v>1</v>
      </c>
      <c r="G5" s="38">
        <f>COS(pitch)*SIN(roll)</f>
        <v>-8.0291708456506986E-9</v>
      </c>
      <c r="H5" s="40">
        <v>0</v>
      </c>
      <c r="I5" s="15">
        <f>36/39.37</f>
        <v>0.91440182880365761</v>
      </c>
      <c r="J5" s="16">
        <f t="shared" ref="J5" si="2">36/39.37</f>
        <v>0.91440182880365761</v>
      </c>
      <c r="K5" s="16">
        <f>-36/39.37</f>
        <v>-0.91440182880365761</v>
      </c>
      <c r="L5" s="17">
        <f>-36/39.37</f>
        <v>-0.91440182880365761</v>
      </c>
      <c r="M5" s="19">
        <v>0</v>
      </c>
      <c r="N5" s="24">
        <f>$E5*I4+$F5*I5+$G5*I6+$H5*I7</f>
        <v>0.91440182860575747</v>
      </c>
      <c r="O5" s="25">
        <f t="shared" ref="O5:R5" si="3">$E5*J4+$F5*J5+$G5*J6+$H5*J7</f>
        <v>0.91440182900155775</v>
      </c>
      <c r="P5" s="25">
        <f t="shared" si="3"/>
        <v>-0.91440182900155775</v>
      </c>
      <c r="Q5" s="26">
        <f t="shared" si="3"/>
        <v>-0.91440182860575747</v>
      </c>
      <c r="R5" s="31">
        <f t="shared" si="3"/>
        <v>0</v>
      </c>
    </row>
    <row r="6" spans="1:18" x14ac:dyDescent="0.2">
      <c r="E6" s="36">
        <f>-SIN(pitch)*COS(roll)</f>
        <v>2.1558931601771275E-2</v>
      </c>
      <c r="F6" s="38">
        <f>-SIN(roll)</f>
        <v>8.031037425598136E-9</v>
      </c>
      <c r="G6" s="38">
        <f>COS(pitch)*COS(roll)</f>
        <v>0.99976757922438664</v>
      </c>
      <c r="H6" s="40">
        <f>zc</f>
        <v>0.41091666279115879</v>
      </c>
      <c r="I6" s="8">
        <v>0</v>
      </c>
      <c r="J6" s="5">
        <v>0</v>
      </c>
      <c r="K6" s="5">
        <v>0</v>
      </c>
      <c r="L6" s="9">
        <v>0</v>
      </c>
      <c r="M6" s="19">
        <v>0</v>
      </c>
      <c r="N6" s="24">
        <f>$E6*I4+$F6*I5+$G6*I6+$H6*I7</f>
        <v>0.43555857823939487</v>
      </c>
      <c r="O6" s="25">
        <f t="shared" ref="O6:R6" si="4">$E6*J4+$F6*J5+$G6*J6+$H6*J7</f>
        <v>0.38627476203011335</v>
      </c>
      <c r="P6" s="25">
        <f t="shared" si="4"/>
        <v>0.43555856355220424</v>
      </c>
      <c r="Q6" s="26">
        <f t="shared" si="4"/>
        <v>0.38627474734292272</v>
      </c>
      <c r="R6" s="31">
        <f t="shared" si="4"/>
        <v>0.41091666279115879</v>
      </c>
    </row>
    <row r="7" spans="1:18" x14ac:dyDescent="0.2">
      <c r="E7" s="10">
        <v>0</v>
      </c>
      <c r="F7" s="6">
        <v>0</v>
      </c>
      <c r="G7" s="6">
        <v>0</v>
      </c>
      <c r="H7" s="11">
        <v>1</v>
      </c>
      <c r="I7" s="10">
        <v>1</v>
      </c>
      <c r="J7" s="6">
        <v>1</v>
      </c>
      <c r="K7" s="6">
        <v>1</v>
      </c>
      <c r="L7" s="11">
        <v>1</v>
      </c>
      <c r="M7" s="20">
        <v>1</v>
      </c>
      <c r="N7" s="27">
        <f>$E7*I4+$F7*I5+$G7*I6+$H7*I7</f>
        <v>1</v>
      </c>
      <c r="O7" s="28">
        <f t="shared" ref="O7:Q7" si="5">$E7*J4+$F7*J5+$G7*J6+$H7*J7</f>
        <v>1</v>
      </c>
      <c r="P7" s="28">
        <f t="shared" si="5"/>
        <v>1</v>
      </c>
      <c r="Q7" s="29">
        <f t="shared" si="5"/>
        <v>1</v>
      </c>
      <c r="R7" s="20">
        <v>1</v>
      </c>
    </row>
    <row r="8" spans="1:18" x14ac:dyDescent="0.2">
      <c r="E8" t="s">
        <v>16</v>
      </c>
    </row>
    <row r="9" spans="1:18" x14ac:dyDescent="0.2">
      <c r="L9" t="s">
        <v>3</v>
      </c>
      <c r="M9">
        <v>0</v>
      </c>
      <c r="N9">
        <v>0</v>
      </c>
      <c r="O9">
        <v>0</v>
      </c>
      <c r="P9">
        <v>0</v>
      </c>
    </row>
    <row r="10" spans="1:18" x14ac:dyDescent="0.2">
      <c r="L10" t="s">
        <v>7</v>
      </c>
      <c r="M10" s="3">
        <f>lspring-(N6-M9)</f>
        <v>6.4441421760605133E-2</v>
      </c>
      <c r="N10" s="3">
        <f>lspring-(O6-N9)</f>
        <v>0.11372523796988665</v>
      </c>
      <c r="O10" s="3">
        <f>lspring-(P6-O9)</f>
        <v>6.4441436447795764E-2</v>
      </c>
      <c r="P10" s="3">
        <f>lspring-(Q6-P9)</f>
        <v>0.11372525265707728</v>
      </c>
    </row>
    <row r="11" spans="1:18" x14ac:dyDescent="0.2">
      <c r="L11" t="s">
        <v>8</v>
      </c>
      <c r="M11" s="4">
        <f>Kspring*M10</f>
        <v>128.88284352121028</v>
      </c>
      <c r="N11" s="4">
        <f>Kspring*N10</f>
        <v>227.4504759397733</v>
      </c>
      <c r="O11" s="4">
        <f>Kspring*O10</f>
        <v>128.88287289559153</v>
      </c>
      <c r="P11" s="4">
        <f>Kspring*P10</f>
        <v>227.45050531415455</v>
      </c>
      <c r="Q11" s="4">
        <f>SUM(M11:P11)</f>
        <v>712.66669767072972</v>
      </c>
      <c r="R11" s="4">
        <f>mvehicle-Q11</f>
        <v>356.33330232927028</v>
      </c>
    </row>
    <row r="13" spans="1:18" x14ac:dyDescent="0.2">
      <c r="L13" t="s">
        <v>9</v>
      </c>
      <c r="M13">
        <f>M11*N5+N11*O5+O11*P5+P11*Q5-mass*R5</f>
        <v>-5.3680962793123399E-5</v>
      </c>
      <c r="R13" s="41">
        <f>R11^2+M13^2+M14^2</f>
        <v>177721.65681062039</v>
      </c>
    </row>
    <row r="14" spans="1:18" x14ac:dyDescent="0.2">
      <c r="L14" t="s">
        <v>10</v>
      </c>
      <c r="M14">
        <f>M11*N4+N11*O4+O11*P4+P11*Q4-mass*R4</f>
        <v>-225.27368790370167</v>
      </c>
      <c r="O14" t="s">
        <v>19</v>
      </c>
    </row>
    <row r="15" spans="1:18" x14ac:dyDescent="0.2">
      <c r="I15" s="2"/>
    </row>
    <row r="16" spans="1:18" x14ac:dyDescent="0.2">
      <c r="A16" t="s">
        <v>12</v>
      </c>
      <c r="E16" t="s">
        <v>13</v>
      </c>
      <c r="I16" t="s">
        <v>11</v>
      </c>
      <c r="J16" s="2" t="s">
        <v>14</v>
      </c>
      <c r="K16" s="2"/>
      <c r="L16" s="2"/>
      <c r="N16" t="s">
        <v>15</v>
      </c>
    </row>
    <row r="17" spans="1:18" x14ac:dyDescent="0.2">
      <c r="A17" s="35">
        <f>COS(pitch)</f>
        <v>0.99976757922438664</v>
      </c>
      <c r="B17" s="37">
        <v>0</v>
      </c>
      <c r="C17" s="37">
        <f>SIN(pitch)</f>
        <v>-2.1558931601771275E-2</v>
      </c>
      <c r="D17" s="37">
        <v>0</v>
      </c>
      <c r="E17" s="12">
        <f>45/39.37</f>
        <v>1.1430022860045721</v>
      </c>
      <c r="F17" s="13">
        <v>0</v>
      </c>
      <c r="G17" s="13">
        <f>-45/39.37</f>
        <v>-1.1430022860045721</v>
      </c>
      <c r="H17" s="13">
        <f>45/39.37</f>
        <v>1.1430022860045721</v>
      </c>
      <c r="I17" s="13">
        <v>0</v>
      </c>
      <c r="J17" s="14">
        <f>-45/39.37</f>
        <v>-1.1430022860045721</v>
      </c>
      <c r="K17" s="7">
        <v>-0.2</v>
      </c>
      <c r="L17" s="21">
        <f>$A17*E17+$B17*E18+$C17*E19+$D17*E20</f>
        <v>1.1427366285267311</v>
      </c>
      <c r="M17" s="22">
        <f>$A17*F17+$B17*F18+$C17*F19+$D17*F20</f>
        <v>0</v>
      </c>
      <c r="N17" s="22">
        <f>$A17*G17+$B17*G18+$C17*G19+$D17*G20</f>
        <v>-1.1427366285267311</v>
      </c>
      <c r="O17" s="22">
        <f>$A17*H17+$B17*H18+$C17*H19+$D17*H20</f>
        <v>1.1427366285267311</v>
      </c>
      <c r="P17" s="22">
        <f>$A17*I17+$B17*I18+$C17*I19+$D17*I20</f>
        <v>0</v>
      </c>
      <c r="Q17" s="23">
        <f>$A17*J17+$B17*J18+$C17*J19+$D17*J20</f>
        <v>-1.1427366285267311</v>
      </c>
      <c r="R17" s="23">
        <f t="shared" ref="R17" si="6">$A17*K17+$B17*K18+$C17*K19+$D17*K20</f>
        <v>-0.21073298164576298</v>
      </c>
    </row>
    <row r="18" spans="1:18" x14ac:dyDescent="0.2">
      <c r="A18" s="36">
        <f>-SIN(pitch)*SIN(roll)</f>
        <v>-1.7314058654973547E-10</v>
      </c>
      <c r="B18" s="38">
        <f>COS(roll)</f>
        <v>1</v>
      </c>
      <c r="C18" s="38">
        <f>COS(pitch)*SIN(roll)</f>
        <v>-8.0291708456506986E-9</v>
      </c>
      <c r="D18" s="38">
        <v>0</v>
      </c>
      <c r="E18" s="15">
        <f>36/39.37</f>
        <v>0.91440182880365761</v>
      </c>
      <c r="F18" s="16">
        <f t="shared" ref="F18:G18" si="7">36/39.37</f>
        <v>0.91440182880365761</v>
      </c>
      <c r="G18" s="16">
        <f t="shared" si="7"/>
        <v>0.91440182880365761</v>
      </c>
      <c r="H18" s="16">
        <f>-36/39.37</f>
        <v>-0.91440182880365761</v>
      </c>
      <c r="I18" s="16">
        <f>-36/39.37</f>
        <v>-0.91440182880365761</v>
      </c>
      <c r="J18" s="17">
        <f>-36/39.37</f>
        <v>-0.91440182880365761</v>
      </c>
      <c r="K18" s="5">
        <v>0</v>
      </c>
      <c r="L18" s="24">
        <f>$A18*E17+$B18*E18+$C18*E19+$D18*E20</f>
        <v>0.91440182860575747</v>
      </c>
      <c r="M18" s="25">
        <f t="shared" ref="M18:N18" si="8">$A18*F17+$B18*F18+$C18*F19+$D18*F20</f>
        <v>0.91440182880365761</v>
      </c>
      <c r="N18" s="25">
        <f t="shared" si="8"/>
        <v>0.91440182900155775</v>
      </c>
      <c r="O18" s="25">
        <f t="shared" ref="O18:R18" si="9">$A18*H17+$B18*H18+$C18*H19+$D18*H20</f>
        <v>-0.91440182900155775</v>
      </c>
      <c r="P18" s="25">
        <f t="shared" si="9"/>
        <v>-0.91440182880365761</v>
      </c>
      <c r="Q18" s="26">
        <f t="shared" si="9"/>
        <v>-0.91440182860575747</v>
      </c>
      <c r="R18" s="26">
        <f t="shared" si="9"/>
        <v>-3.9799573055154025E-9</v>
      </c>
    </row>
    <row r="19" spans="1:18" x14ac:dyDescent="0.2">
      <c r="A19" s="36">
        <f>-SIN(pitch)*COS(roll)</f>
        <v>2.1558931601771275E-2</v>
      </c>
      <c r="B19" s="38">
        <f>-SIN(roll)</f>
        <v>8.031037425598136E-9</v>
      </c>
      <c r="C19" s="38">
        <f>COS(pitch)*COS(roll)</f>
        <v>0.99976757922438664</v>
      </c>
      <c r="D19" s="38">
        <f>zc</f>
        <v>0.41091666279115879</v>
      </c>
      <c r="E19" s="8">
        <v>0</v>
      </c>
      <c r="F19" s="5">
        <v>0</v>
      </c>
      <c r="G19" s="5">
        <v>0</v>
      </c>
      <c r="H19" s="5">
        <v>0</v>
      </c>
      <c r="I19" s="5">
        <v>0</v>
      </c>
      <c r="J19" s="9">
        <v>0</v>
      </c>
      <c r="K19" s="5">
        <v>0.5</v>
      </c>
      <c r="L19" s="24">
        <f>$A19*E17+$B19*E18+$C19*E19+$D19*E20</f>
        <v>0.43555857823939487</v>
      </c>
      <c r="M19" s="25">
        <f t="shared" ref="M19:N19" si="10">$A19*F17+$B19*F18+$C19*F19+$D19*F20</f>
        <v>0.41091667013475408</v>
      </c>
      <c r="N19" s="25">
        <f t="shared" si="10"/>
        <v>0.38627476203011335</v>
      </c>
      <c r="O19" s="25">
        <f t="shared" ref="O19:P19" si="11">$A19*H17+$B19*H18+$C19*H19+$D19*H20</f>
        <v>0.43555856355220424</v>
      </c>
      <c r="P19" s="25">
        <f t="shared" si="11"/>
        <v>0.41091665544756351</v>
      </c>
      <c r="Q19" s="26">
        <f>$A19*J17+$B19*J18+$C19*J19+$D19*J20</f>
        <v>0.38627474734292272</v>
      </c>
      <c r="R19" s="26">
        <f>$A19*K17+$B19*K18+$C19*K19+$D19*K20</f>
        <v>0.90648866608299783</v>
      </c>
    </row>
    <row r="20" spans="1:18" x14ac:dyDescent="0.2">
      <c r="A20" s="10">
        <v>0</v>
      </c>
      <c r="B20" s="6">
        <v>0</v>
      </c>
      <c r="C20" s="6">
        <v>0</v>
      </c>
      <c r="D20" s="6">
        <v>1</v>
      </c>
      <c r="E20" s="10">
        <v>1</v>
      </c>
      <c r="F20" s="6">
        <v>1</v>
      </c>
      <c r="G20" s="6">
        <v>1</v>
      </c>
      <c r="H20" s="6">
        <v>1</v>
      </c>
      <c r="I20" s="6">
        <v>1</v>
      </c>
      <c r="J20" s="11">
        <v>1</v>
      </c>
      <c r="K20" s="6">
        <v>1</v>
      </c>
      <c r="L20" s="32">
        <f>$A20*E17+$B20*E18+$C20*E19+$D20*E20</f>
        <v>1</v>
      </c>
      <c r="M20" s="33">
        <f t="shared" ref="M20:N20" si="12">$A20*F17+$B20*F18+$C20*F19+$D20*F20</f>
        <v>1</v>
      </c>
      <c r="N20" s="33">
        <f t="shared" si="12"/>
        <v>1</v>
      </c>
      <c r="O20" s="33">
        <f t="shared" ref="O20:R20" si="13">$A20*H17+$B20*H18+$C20*H19+$D20*H20</f>
        <v>1</v>
      </c>
      <c r="P20" s="33">
        <f t="shared" si="13"/>
        <v>1</v>
      </c>
      <c r="Q20" s="34">
        <f t="shared" si="13"/>
        <v>1</v>
      </c>
      <c r="R20" s="34">
        <f t="shared" si="13"/>
        <v>1</v>
      </c>
    </row>
    <row r="21" spans="1:18" x14ac:dyDescent="0.2">
      <c r="A21" t="s">
        <v>17</v>
      </c>
    </row>
    <row r="22" spans="1:18" x14ac:dyDescent="0.2">
      <c r="H22" t="s">
        <v>3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</row>
    <row r="23" spans="1:18" x14ac:dyDescent="0.2">
      <c r="H23" t="s">
        <v>7</v>
      </c>
      <c r="I23" s="3">
        <f>lspring-(L19-I22)</f>
        <v>6.4441421760605133E-2</v>
      </c>
      <c r="J23" s="3">
        <f>lspring-(M19-J22)</f>
        <v>8.9083329865245919E-2</v>
      </c>
      <c r="K23" s="3">
        <f>lspring-(N19-K22)</f>
        <v>0.11372523796988665</v>
      </c>
      <c r="L23" s="3">
        <f>lspring-(O19-L22)</f>
        <v>6.4441436447795764E-2</v>
      </c>
      <c r="M23" s="3">
        <f>lspring-(P19-M22)</f>
        <v>8.9083344552436494E-2</v>
      </c>
      <c r="N23" s="3">
        <f>lspring-(Q19-N22)</f>
        <v>0.11372525265707728</v>
      </c>
    </row>
    <row r="24" spans="1:18" x14ac:dyDescent="0.2">
      <c r="H24" t="s">
        <v>8</v>
      </c>
      <c r="I24" s="4">
        <f>Kspring*I23</f>
        <v>128.88284352121028</v>
      </c>
      <c r="J24" s="4">
        <f>Kspring*J23</f>
        <v>178.16665973049183</v>
      </c>
      <c r="K24" s="4">
        <f>Kspring*K23</f>
        <v>227.4504759397733</v>
      </c>
      <c r="L24" s="4">
        <f>Kspring*L23</f>
        <v>128.88287289559153</v>
      </c>
      <c r="M24" s="4">
        <f>Kspring*M23</f>
        <v>178.166689104873</v>
      </c>
      <c r="N24" s="4">
        <f>Kspring*N23</f>
        <v>227.45050531415455</v>
      </c>
      <c r="O24" s="4">
        <f>SUM(I24:N24)</f>
        <v>1069.0000465060943</v>
      </c>
      <c r="P24" s="4">
        <f>mvehicle-O24</f>
        <v>-4.6506094349751947E-5</v>
      </c>
    </row>
    <row r="26" spans="1:18" x14ac:dyDescent="0.2">
      <c r="H26" t="s">
        <v>9</v>
      </c>
      <c r="I26">
        <f>I24*L18+J24*M18+K24*N18+L24*O18+M24*P18+N24*Q18-mass*R18</f>
        <v>-7.6286376231916262E-5</v>
      </c>
      <c r="N26" s="41">
        <f>P24^2+I26^2+I27^2</f>
        <v>2.5019042054835921E-8</v>
      </c>
    </row>
    <row r="27" spans="1:18" x14ac:dyDescent="0.2">
      <c r="H27" t="s">
        <v>10</v>
      </c>
      <c r="I27">
        <f>I24*L17+J24*M17+K24*N17+L24*O17+M24*P17+N24*Q17-mass*R17</f>
        <v>-1.3052438103500208E-4</v>
      </c>
      <c r="L27" t="s">
        <v>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7</vt:i4>
      </vt:variant>
    </vt:vector>
  </HeadingPairs>
  <TitlesOfParts>
    <vt:vector size="8" baseType="lpstr">
      <vt:lpstr>Sheet1</vt:lpstr>
      <vt:lpstr>Kspring</vt:lpstr>
      <vt:lpstr>lspring</vt:lpstr>
      <vt:lpstr>mass</vt:lpstr>
      <vt:lpstr>mvehicle</vt:lpstr>
      <vt:lpstr>pitch</vt:lpstr>
      <vt:lpstr>roll</vt:lpstr>
      <vt:lpstr>zc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L. Akin</dc:creator>
  <cp:lastModifiedBy>David L. Akin</cp:lastModifiedBy>
  <dcterms:created xsi:type="dcterms:W3CDTF">2020-12-06T20:58:34Z</dcterms:created>
  <dcterms:modified xsi:type="dcterms:W3CDTF">2020-12-09T05:21:23Z</dcterms:modified>
</cp:coreProperties>
</file>